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צוות אלטשולר\הוצאות ישירות\קו הבריאות\2023\רבעון 4\דוחות שנתיים\"/>
    </mc:Choice>
  </mc:AlternateContent>
  <xr:revisionPtr revIDLastSave="0" documentId="13_ncr:1_{F26EA5EC-01AE-4AE0-BEC1-5547F2E572C0}" xr6:coauthVersionLast="36" xr6:coauthVersionMax="36" xr10:uidLastSave="{00000000-0000-0000-0000-000000000000}"/>
  <bookViews>
    <workbookView xWindow="0" yWindow="0" windowWidth="19200" windowHeight="11565" xr2:uid="{728577BE-6303-4C45-BB31-0BF4D099F723}"/>
  </bookViews>
  <sheets>
    <sheet name="נספח 1" sheetId="1" r:id="rId1"/>
    <sheet name="נספח 2" sheetId="2" r:id="rId2"/>
    <sheet name="נספח 3" sheetId="3" r:id="rId3"/>
    <sheet name="עד 50" sheetId="4" r:id="rId4"/>
    <sheet name="50-60" sheetId="5" r:id="rId5"/>
    <sheet name="60+" sheetId="6" r:id="rId6"/>
  </sheets>
  <externalReferences>
    <externalReference r:id="rId7"/>
  </externalReferences>
  <definedNames>
    <definedName name="comp_name">'[1]הפעלה דוח הוצאות ישירות'!$D$3</definedName>
    <definedName name="SUG_MUZAR">'[1]הפעלה דוח הוצאות ישירות'!$D$4</definedName>
    <definedName name="to_date">'[1]הפעלה דוח הוצאות ישירות'!$D$5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D65" i="3" l="1"/>
  <c r="D24" i="4"/>
  <c r="D24" i="5"/>
  <c r="D19" i="5" l="1"/>
  <c r="D17" i="5"/>
  <c r="D54" i="3"/>
  <c r="D26" i="3"/>
  <c r="D23" i="5" l="1"/>
  <c r="D22" i="4"/>
  <c r="D71" i="3" l="1"/>
  <c r="D18" i="2"/>
  <c r="D12" i="2" l="1"/>
  <c r="D11" i="2"/>
  <c r="D10" i="2"/>
  <c r="D8" i="2"/>
  <c r="D77" i="3"/>
  <c r="D76" i="3"/>
  <c r="D81" i="3" s="1"/>
  <c r="D74" i="3"/>
  <c r="D66" i="3"/>
  <c r="D23" i="4"/>
  <c r="D9" i="4"/>
  <c r="D5" i="4"/>
  <c r="D9" i="5"/>
  <c r="D5" i="5"/>
  <c r="D24" i="6"/>
  <c r="D9" i="6"/>
  <c r="D5" i="6"/>
  <c r="D37" i="6" l="1"/>
  <c r="D37" i="5"/>
  <c r="D37" i="4"/>
  <c r="D29" i="1"/>
  <c r="D28" i="1"/>
  <c r="D27" i="1"/>
  <c r="D25" i="1"/>
  <c r="D24" i="1"/>
  <c r="D23" i="1"/>
  <c r="D22" i="1"/>
  <c r="D21" i="1"/>
  <c r="D20" i="1"/>
  <c r="D19" i="1"/>
  <c r="D18" i="1"/>
  <c r="D17" i="1"/>
  <c r="D14" i="1"/>
  <c r="D13" i="1"/>
  <c r="D12" i="1"/>
  <c r="D11" i="1"/>
  <c r="D10" i="1"/>
  <c r="D9" i="1"/>
  <c r="D8" i="1"/>
  <c r="D6" i="1"/>
  <c r="D5" i="1"/>
  <c r="D4" i="1"/>
  <c r="D27" i="4" l="1"/>
  <c r="D16" i="4"/>
  <c r="D34" i="4" s="1"/>
  <c r="D11" i="4"/>
  <c r="D7" i="4"/>
  <c r="D3" i="4"/>
  <c r="D27" i="5"/>
  <c r="D16" i="5"/>
  <c r="D34" i="5" s="1"/>
  <c r="D11" i="5"/>
  <c r="D7" i="5"/>
  <c r="D3" i="5"/>
  <c r="D27" i="6"/>
  <c r="D16" i="6"/>
  <c r="D11" i="6"/>
  <c r="D7" i="6"/>
  <c r="D3" i="6"/>
  <c r="D37" i="1"/>
  <c r="D31" i="4" l="1"/>
  <c r="D35" i="4" s="1"/>
  <c r="D7" i="1"/>
  <c r="D3" i="1"/>
  <c r="D34" i="6"/>
  <c r="D16" i="1"/>
  <c r="D34" i="1" s="1"/>
  <c r="D31" i="6"/>
  <c r="D31" i="5"/>
  <c r="D35" i="5" s="1"/>
  <c r="D35" i="6" l="1"/>
  <c r="D31" i="1"/>
  <c r="D64" i="3"/>
  <c r="D68" i="3" s="1"/>
  <c r="D82" i="3" s="1"/>
  <c r="D35" i="1" l="1"/>
  <c r="D20" i="2"/>
  <c r="D21" i="2" s="1"/>
  <c r="D13" i="2"/>
  <c r="D38" i="2" l="1"/>
</calcChain>
</file>

<file path=xl/sharedStrings.xml><?xml version="1.0" encoding="utf-8"?>
<sst xmlns="http://schemas.openxmlformats.org/spreadsheetml/2006/main" count="279" uniqueCount="142">
  <si>
    <t>נספח 1 - קו הבריאות - קופת גמל -  סך התשלומים ששולמו בגין כל סוג של הוצאה ישירה לשנה המסתיימת ביום 31/12/2023</t>
  </si>
  <si>
    <t>תאור</t>
  </si>
  <si>
    <t>אלפי ש''ח</t>
  </si>
  <si>
    <t>1. סהכ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</si>
  <si>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</si>
  <si>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</si>
  <si>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</si>
  <si>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</si>
  <si>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</si>
  <si>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</si>
  <si>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</si>
  <si>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</si>
  <si>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</si>
  <si>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</si>
  <si>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</si>
  <si>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 - צד קשור</t>
  </si>
  <si>
    <t>ג. סך תשלומים הנובעים מהשקעה בקרנות השקעה בחו"ל</t>
  </si>
  <si>
    <t>ד. סך תשלומים למנהלי תיקים ישראלים בגין השקעה בחו"ל</t>
  </si>
  <si>
    <t xml:space="preserve">ה. סך תשלומים למנהלי תיקים זרים </t>
  </si>
  <si>
    <t>ו. סך תשלומים בגין השקעה בתעודות סל ישראליות</t>
  </si>
  <si>
    <t>ז. סך תשלומים בגין השקעה בתעודות סל זרות</t>
  </si>
  <si>
    <t>ט.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</si>
  <si>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</si>
  <si>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</si>
  <si>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</si>
  <si>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</si>
  <si>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</si>
  <si>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א. שיעור סך ההוצאות הישירות, שההוצאה בגינן מוגבלת לשיעור של 0.25 לפי התקנות (באחוזים) (סיכום סעיפים 3א, 4, 5ב חלקי סך נכסים לסוף שנה קודמת)</t>
  </si>
  <si>
    <t>ב. שיעור סך הוצאות ישירות מסך נכסים לסוף שנה קודמת (באחוזים) (סעיף 6 חלקי סך נכסים לסוף שנה קודמת)</t>
  </si>
  <si>
    <t>8. יתרת נכסים ממוצעת באלפי ₪</t>
  </si>
  <si>
    <t>יתרת נכסים לסוף תקופה</t>
  </si>
  <si>
    <t>יתרת נכסים לסוף שנה קודמת</t>
  </si>
  <si>
    <t>נספח 2 - קו הבריאות - קופת גמל - פרוט עמלות והוצאות לשנה המסתיימת ביום 31/12/2023</t>
  </si>
  <si>
    <t>ברוקראז-עמלות קניה ומכירה בגין עסקאות בניע סחירים</t>
  </si>
  <si>
    <t/>
  </si>
  <si>
    <t>צדדים קשורים</t>
  </si>
  <si>
    <t>סה"כ לצדדים  קשורים</t>
  </si>
  <si>
    <t>צדדים שאינם קשורים</t>
  </si>
  <si>
    <t>בנק לאומי</t>
  </si>
  <si>
    <t>ברוקר זר</t>
  </si>
  <si>
    <t>EUROCLEAR</t>
  </si>
  <si>
    <t>סה"כ לצדדים שאינם קשורים</t>
  </si>
  <si>
    <t>סך עמלות ברוקראז</t>
  </si>
  <si>
    <t>עמלות קסטודיאן</t>
  </si>
  <si>
    <t>סה"כ לצדדים קשורים</t>
  </si>
  <si>
    <t>צדדים שאינם  קשורים</t>
  </si>
  <si>
    <t>בנק הפועלים</t>
  </si>
  <si>
    <t>סה"כ לצדדים שאינם  קשורים</t>
  </si>
  <si>
    <t>סך עמלות קסטודיאן</t>
  </si>
  <si>
    <t>הוצאות הנובעת מהשקעה בניע לא סחירים או ממתן הלוואה</t>
  </si>
  <si>
    <t>גוף/יחיד א</t>
  </si>
  <si>
    <t>אחרים</t>
  </si>
  <si>
    <t>סך הוצאות הנובעת מהשקעה בניע לא סחירים או ממתן הלוואה</t>
  </si>
  <si>
    <t>הוצאה הנובעת מהשקעה בזכויות במקרקעין</t>
  </si>
  <si>
    <t>סך הוצאות הנובעת מהשקעה בזכויות מקרקעין</t>
  </si>
  <si>
    <t>הוצאה הנובעת בעד ניהול תביעה או תובענה</t>
  </si>
  <si>
    <t>סך הוצאות בעד ניהול תביעה או תובענה</t>
  </si>
  <si>
    <t>הוצאה הנובעת ממתן משכנתא</t>
  </si>
  <si>
    <t>סך הוצאות הנובעת ממתן משכנתא</t>
  </si>
  <si>
    <t>סך הכל עמלות והוצאות</t>
  </si>
  <si>
    <t xml:space="preserve"> יתרת נכסים ממוצעת באלפי ₪</t>
  </si>
  <si>
    <t>נספח 3 - קו הבריאות - קופת גמל - פירוט עמלות ניהול חיצוני לשנה המסתיימת ביום 31/12/2023</t>
  </si>
  <si>
    <t>אלפי שח</t>
  </si>
  <si>
    <t>ALTO III</t>
  </si>
  <si>
    <t>Apexus</t>
  </si>
  <si>
    <t>BLUE ATLANTIC PARTNERS I</t>
  </si>
  <si>
    <t>BLUE ATLANTIC PARTNERS II</t>
  </si>
  <si>
    <t>BLUE ATLANTIC PARTNERS III</t>
  </si>
  <si>
    <t xml:space="preserve">Direct Lending Fund III </t>
  </si>
  <si>
    <t>Electra Multi Family Fund II</t>
  </si>
  <si>
    <t xml:space="preserve">EQT Infrastructure V </t>
  </si>
  <si>
    <t xml:space="preserve">Fimi Israel opportunity 5 </t>
  </si>
  <si>
    <t>Fimi Israel opportunity 6</t>
  </si>
  <si>
    <t>FIRST TIME 2</t>
  </si>
  <si>
    <t xml:space="preserve">Fortissimo Capital Fund III </t>
  </si>
  <si>
    <t xml:space="preserve">Hamilton Lane CI IV </t>
  </si>
  <si>
    <t xml:space="preserve">ICG EUROPE VIL </t>
  </si>
  <si>
    <t xml:space="preserve">ICG NORTH AMEIRCA </t>
  </si>
  <si>
    <t xml:space="preserve">Insight Venture Partners XII </t>
  </si>
  <si>
    <t>klirmark III</t>
  </si>
  <si>
    <t>klirmark IV</t>
  </si>
  <si>
    <t xml:space="preserve">Moneta Capital </t>
  </si>
  <si>
    <t xml:space="preserve">Mv Senior 2 </t>
  </si>
  <si>
    <t>Noked  Opportunity</t>
  </si>
  <si>
    <t>Noked Equty</t>
  </si>
  <si>
    <t>OAK ST. 6</t>
  </si>
  <si>
    <t xml:space="preserve">PANTHEON ACCESS </t>
  </si>
  <si>
    <t>PGIF IV</t>
  </si>
  <si>
    <t>Starlight Bond FP I LP</t>
  </si>
  <si>
    <t>Vintage Fund of Funds IV</t>
  </si>
  <si>
    <t>Vintage Fund of FundsV (Access)</t>
  </si>
  <si>
    <t>vintage growth fund III</t>
  </si>
  <si>
    <t>Vintage Secondary Fund IV</t>
  </si>
  <si>
    <t>אלפא ערך</t>
  </si>
  <si>
    <t>קוגיטו קפיטל SME</t>
  </si>
  <si>
    <t xml:space="preserve">קוגיטו קפיטל בי.אמ.אי- קו הבריאות </t>
  </si>
  <si>
    <t xml:space="preserve">קרן גידור אלפא הזדמנויות </t>
  </si>
  <si>
    <t xml:space="preserve">קרן השקעה ויטה לייף 2 </t>
  </si>
  <si>
    <t xml:space="preserve">קרן פורמה </t>
  </si>
  <si>
    <t>שכ"ט  ACIP II</t>
  </si>
  <si>
    <t>שכ"ט  עוד  Oak Street V</t>
  </si>
  <si>
    <t>שכ"ט  עוד PGIF IV</t>
  </si>
  <si>
    <t>שכ"ט  רו"ח PGIF IV</t>
  </si>
  <si>
    <t>שכ"ט klirmark IV</t>
  </si>
  <si>
    <t>שכ"ט יעוץ מס  Oak Street V</t>
  </si>
  <si>
    <t>שכ"ט רו"ח  ACIP II</t>
  </si>
  <si>
    <t>שכט רוח סטארלייט BTR</t>
  </si>
  <si>
    <t>סך תשלומים הנובעים מהשקעה בקרנות השקעה</t>
  </si>
  <si>
    <t>תשלום למנהל תיקים ישראלי</t>
  </si>
  <si>
    <t>סך תשלום למנהל תיקים ישראלי</t>
  </si>
  <si>
    <t>תשלום למנהל תיקים זר</t>
  </si>
  <si>
    <t>סך תשלום למנהל תיקים זר</t>
  </si>
  <si>
    <t xml:space="preserve">תשלום בגין קרנות נאמנות </t>
  </si>
  <si>
    <t>קרן נאמנות ישראלית</t>
  </si>
  <si>
    <t>קסם קרנות נאמנות בע"מ</t>
  </si>
  <si>
    <t>מיטב תכלית קרנות נאמנות בע"מ</t>
  </si>
  <si>
    <t>קרן חוץ</t>
  </si>
  <si>
    <t>סך תשלומים בגין השקעה בקרנות נאמנות</t>
  </si>
  <si>
    <t>תשלום בגין השקעה בתעודות סל</t>
  </si>
  <si>
    <t>תעודות סל ישראליות</t>
  </si>
  <si>
    <t>הראל קרנות נאמנות בע"מ</t>
  </si>
  <si>
    <t>סך הכל תעודות סל ישראליות</t>
  </si>
  <si>
    <t>תעודת סל זרה</t>
  </si>
  <si>
    <t>Vanguard Group</t>
  </si>
  <si>
    <t>State Street Corp</t>
  </si>
  <si>
    <t>סך הכל תעודות סל זרות</t>
  </si>
  <si>
    <t>סך הכל עמלות ניהול חיצוני</t>
  </si>
  <si>
    <t>נספח 1 - 1896קו הבריאות 50 ומטה 1896 -  סך התשלומים ששולמו בגין כל סוג של הוצאה ישירה לשנה המסתיימת ביום 31/12/2023</t>
  </si>
  <si>
    <t>נספח 1 - 1898קו הבריאות 50-60 1898 -  סך התשלומים ששולמו בגין כל סוג של הוצאה ישירה לשנה המסתיימת ביום 31/12/2023</t>
  </si>
  <si>
    <t>נספח 1 - 1900קו הבריאות 60 ומעלה 1900 -  סך התשלומים ששולמו בגין כל סוג של הוצאה ישירה לשנה המסתיימת ביום 31/12/2023</t>
  </si>
  <si>
    <t>KRANESHARES</t>
  </si>
  <si>
    <t>WisdomTree</t>
  </si>
  <si>
    <t xml:space="preserve">BlackRock  Asset Managment </t>
  </si>
  <si>
    <t>מיטב 5018</t>
  </si>
  <si>
    <t>ברוקר לידר הנפקות</t>
  </si>
  <si>
    <t>תשלום הנובע מהשקעה בקרנות השקעה בישראל</t>
  </si>
  <si>
    <t>פרוט מהשקעות בקרנות השקעה בחו"ל</t>
  </si>
  <si>
    <t>פרוט מהשקעות בקרנות השקעה בישראל</t>
  </si>
  <si>
    <t>תשלום הנובע מהשקעה בקרנות השקעה בחו"ל</t>
  </si>
  <si>
    <t>ח. סך תשלומים בגין השקעה בקרנות נאמנות ישראליות</t>
  </si>
  <si>
    <t>קרן רוטשילד נדלן</t>
  </si>
  <si>
    <t>HGI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</si>
</sst>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David"/>
      <family val="2"/>
      <charset val="177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right" readingOrder="2"/>
    </xf>
    <xf numFmtId="165" fontId="2" fillId="0" borderId="0" xfId="1" applyNumberFormat="1" applyFont="1" applyFill="1" applyBorder="1" applyAlignment="1">
      <alignment horizontal="right" readingOrder="2"/>
    </xf>
    <xf numFmtId="0" fontId="3" fillId="0" borderId="0" xfId="0" applyFont="1" applyFill="1" applyBorder="1" applyAlignment="1">
      <alignment readingOrder="2"/>
    </xf>
    <xf numFmtId="0" fontId="5" fillId="0" borderId="0" xfId="3" applyFont="1" applyFill="1" applyBorder="1" applyAlignment="1" applyProtection="1">
      <alignment horizontal="right"/>
    </xf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164" fontId="2" fillId="0" borderId="0" xfId="1" applyFont="1" applyFill="1" applyBorder="1"/>
    <xf numFmtId="164" fontId="0" fillId="0" borderId="0" xfId="1" applyFont="1"/>
    <xf numFmtId="165" fontId="6" fillId="0" borderId="0" xfId="1" applyNumberFormat="1" applyFont="1" applyFill="1" applyBorder="1"/>
    <xf numFmtId="164" fontId="6" fillId="0" borderId="0" xfId="1" applyFont="1" applyFill="1" applyBorder="1"/>
    <xf numFmtId="43" fontId="0" fillId="0" borderId="0" xfId="0" applyNumberFormat="1"/>
    <xf numFmtId="0" fontId="3" fillId="0" borderId="0" xfId="0" applyFont="1" applyAlignment="1">
      <alignment horizontal="right"/>
    </xf>
    <xf numFmtId="164" fontId="7" fillId="0" borderId="0" xfId="1" applyNumberFormat="1" applyFont="1" applyFill="1" applyBorder="1"/>
    <xf numFmtId="0" fontId="8" fillId="0" borderId="0" xfId="0" applyFont="1" applyAlignment="1">
      <alignment horizontal="right"/>
    </xf>
    <xf numFmtId="164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</cellXfs>
  <cellStyles count="4">
    <cellStyle name="Comma" xfId="1" builtinId="3"/>
    <cellStyle name="Normal" xfId="0" builtinId="0"/>
    <cellStyle name="Normal 3" xfId="3" xr:uid="{AC8CFF1D-CF29-4E4C-953B-785ACA4C4A5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account/Name/ALL/&#1510;&#1493;&#1493;&#1514;%20&#1488;&#1500;&#1496;&#1513;&#1493;&#1500;&#1512;/&#1492;&#1493;&#1510;&#1488;&#1493;&#1514;%20&#1497;&#1513;&#1497;&#1512;&#1493;&#1514;/&#1492;&#1493;&#1510;&#1488;&#1493;&#1514;%20&#1497;&#1513;&#1497;&#1512;&#1493;&#1514;'.%20V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פעלה בדיקת עמלות"/>
      <sheetName val="הפעלה דוח הוצאות ישירות"/>
      <sheetName val="hamara"/>
      <sheetName val="Tik_Kvutza"/>
      <sheetName val="convert"/>
      <sheetName val="דוח תנועות FC דנאל"/>
      <sheetName val="מטריצת תעריפון"/>
      <sheetName val="מטריצת תעריפון דולר"/>
      <sheetName val="מטריצת תעריפון מטבעות"/>
      <sheetName val="DNL_TNU"/>
      <sheetName val="בקרה"/>
      <sheetName val="מטריצת ברוקרים"/>
      <sheetName val="Atlas_MF"/>
      <sheetName val="Atlas_MFTNU"/>
      <sheetName val="Manpik"/>
      <sheetName val="JUNK"/>
      <sheetName val="קרנות השקעה"/>
      <sheetName val="נספח 1 - סך תשלומים ששולמו"/>
      <sheetName val="נספח 2 - עמלות והוצאות"/>
      <sheetName val="נספח 3 - עמלות ניהול חיצוני"/>
      <sheetName val="VALIDATION"/>
    </sheetNames>
    <sheetDataSet>
      <sheetData sheetId="0"/>
      <sheetData sheetId="1">
        <row r="3">
          <cell r="D3" t="str">
            <v>קו הבריאות</v>
          </cell>
        </row>
        <row r="4">
          <cell r="D4" t="str">
            <v>קופת גמל</v>
          </cell>
        </row>
        <row r="5">
          <cell r="D5">
            <v>45291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91EB-834D-4A67-8C44-98A04399B998}">
  <dimension ref="C1:F41"/>
  <sheetViews>
    <sheetView rightToLeft="1" tabSelected="1" workbookViewId="0">
      <selection activeCell="C23" sqref="C23"/>
    </sheetView>
  </sheetViews>
  <sheetFormatPr defaultRowHeight="15" x14ac:dyDescent="0.25"/>
  <cols>
    <col min="3" max="3" width="58" style="7" customWidth="1"/>
    <col min="4" max="4" width="15" style="5" bestFit="1" customWidth="1"/>
    <col min="5" max="5" width="9" style="18"/>
    <col min="8" max="8" width="12.625" bestFit="1" customWidth="1"/>
    <col min="9" max="9" width="13.75" bestFit="1" customWidth="1"/>
  </cols>
  <sheetData>
    <row r="1" spans="3:6" x14ac:dyDescent="0.25">
      <c r="C1" s="1" t="s">
        <v>0</v>
      </c>
      <c r="D1" s="2"/>
    </row>
    <row r="2" spans="3:6" x14ac:dyDescent="0.25">
      <c r="C2" s="3" t="s">
        <v>1</v>
      </c>
      <c r="D2" s="2" t="s">
        <v>2</v>
      </c>
    </row>
    <row r="3" spans="3:6" ht="15.75" x14ac:dyDescent="0.25">
      <c r="C3" s="4" t="s">
        <v>3</v>
      </c>
      <c r="D3" s="17">
        <f>'עד 50'!D3+'50-60'!D3+'60+'!D3</f>
        <v>329.79698344999997</v>
      </c>
      <c r="F3" s="21"/>
    </row>
    <row r="4" spans="3:6" ht="15.75" x14ac:dyDescent="0.25">
      <c r="C4" s="4" t="s">
        <v>4</v>
      </c>
      <c r="D4" s="17">
        <f>'עד 50'!D4+'50-60'!D4+'60+'!D4</f>
        <v>0</v>
      </c>
      <c r="F4" s="21"/>
    </row>
    <row r="5" spans="3:6" ht="15.75" x14ac:dyDescent="0.25">
      <c r="C5" s="4" t="s">
        <v>5</v>
      </c>
      <c r="D5" s="17">
        <f>'עד 50'!D5+'50-60'!D5+'60+'!D5</f>
        <v>329.79698344999997</v>
      </c>
      <c r="F5" s="21"/>
    </row>
    <row r="6" spans="3:6" ht="15.75" x14ac:dyDescent="0.25">
      <c r="C6" s="4"/>
      <c r="D6" s="17">
        <f>'עד 50'!D6+'50-60'!D6+'60+'!D6</f>
        <v>0</v>
      </c>
      <c r="F6" s="21"/>
    </row>
    <row r="7" spans="3:6" ht="15.75" x14ac:dyDescent="0.25">
      <c r="C7" s="4" t="s">
        <v>6</v>
      </c>
      <c r="D7" s="17">
        <f>'עד 50'!D7+'50-60'!D7+'60+'!D7</f>
        <v>15.29162</v>
      </c>
      <c r="F7" s="21"/>
    </row>
    <row r="8" spans="3:6" ht="15.75" x14ac:dyDescent="0.25">
      <c r="C8" s="4" t="s">
        <v>7</v>
      </c>
      <c r="D8" s="17">
        <f>'עד 50'!D8+'50-60'!D8+'60+'!D8</f>
        <v>0</v>
      </c>
      <c r="F8" s="21"/>
    </row>
    <row r="9" spans="3:6" ht="15.75" x14ac:dyDescent="0.25">
      <c r="C9" s="4" t="s">
        <v>8</v>
      </c>
      <c r="D9" s="17">
        <f>'עד 50'!D9+'50-60'!D9+'60+'!D9</f>
        <v>15.29162</v>
      </c>
      <c r="F9" s="21"/>
    </row>
    <row r="10" spans="3:6" ht="15.75" x14ac:dyDescent="0.25">
      <c r="C10" s="4"/>
      <c r="D10" s="17">
        <f>'עד 50'!D10+'50-60'!D10+'60+'!D10</f>
        <v>0</v>
      </c>
      <c r="F10" s="21"/>
    </row>
    <row r="11" spans="3:6" ht="15.75" x14ac:dyDescent="0.25">
      <c r="C11" s="4" t="s">
        <v>9</v>
      </c>
      <c r="D11" s="17">
        <f>'עד 50'!D11+'50-60'!D11+'60+'!D11</f>
        <v>0</v>
      </c>
      <c r="F11" s="21"/>
    </row>
    <row r="12" spans="3:6" ht="15.75" x14ac:dyDescent="0.25">
      <c r="C12" s="4" t="s">
        <v>10</v>
      </c>
      <c r="D12" s="17">
        <f>'עד 50'!D12+'50-60'!D12+'60+'!D12</f>
        <v>0</v>
      </c>
      <c r="F12" s="21"/>
    </row>
    <row r="13" spans="3:6" ht="15.75" x14ac:dyDescent="0.25">
      <c r="C13" s="4" t="s">
        <v>11</v>
      </c>
      <c r="D13" s="17">
        <f>'עד 50'!D13+'50-60'!D13+'60+'!D13</f>
        <v>0</v>
      </c>
      <c r="F13" s="21"/>
    </row>
    <row r="14" spans="3:6" ht="15.75" x14ac:dyDescent="0.25">
      <c r="C14" s="4" t="s">
        <v>12</v>
      </c>
      <c r="D14" s="17">
        <f>'עד 50'!D14+'50-60'!D14+'60+'!D14</f>
        <v>0</v>
      </c>
      <c r="F14" s="21"/>
    </row>
    <row r="15" spans="3:6" ht="15.75" x14ac:dyDescent="0.25">
      <c r="C15" s="4"/>
      <c r="D15" s="20"/>
      <c r="F15" s="21"/>
    </row>
    <row r="16" spans="3:6" ht="15.75" x14ac:dyDescent="0.25">
      <c r="C16" s="4" t="s">
        <v>13</v>
      </c>
      <c r="D16" s="17">
        <f>'עד 50'!D16+'50-60'!D16+'60+'!D16</f>
        <v>2386.4785038873333</v>
      </c>
      <c r="F16" s="21"/>
    </row>
    <row r="17" spans="3:6" ht="15.75" x14ac:dyDescent="0.25">
      <c r="C17" s="4" t="s">
        <v>14</v>
      </c>
      <c r="D17" s="17">
        <f>'עד 50'!D17+'50-60'!D17+'60+'!D17</f>
        <v>694.27990968333336</v>
      </c>
      <c r="F17" s="21"/>
    </row>
    <row r="18" spans="3:6" ht="15.75" x14ac:dyDescent="0.25">
      <c r="C18" s="4" t="s">
        <v>15</v>
      </c>
      <c r="D18" s="17">
        <f>'עד 50'!D18+'50-60'!D18+'60+'!D18</f>
        <v>0</v>
      </c>
      <c r="F18" s="21"/>
    </row>
    <row r="19" spans="3:6" ht="15.75" x14ac:dyDescent="0.25">
      <c r="C19" s="4" t="s">
        <v>16</v>
      </c>
      <c r="D19" s="17">
        <f>'עד 50'!D19+'50-60'!D19+'60+'!D19</f>
        <v>1661.5943688159998</v>
      </c>
      <c r="F19" s="21"/>
    </row>
    <row r="20" spans="3:6" ht="15.75" x14ac:dyDescent="0.25">
      <c r="C20" s="4" t="s">
        <v>17</v>
      </c>
      <c r="D20" s="17">
        <f>'עד 50'!D20+'50-60'!D20+'60+'!D20</f>
        <v>0</v>
      </c>
      <c r="F20" s="21"/>
    </row>
    <row r="21" spans="3:6" ht="15.75" x14ac:dyDescent="0.25">
      <c r="C21" s="4" t="s">
        <v>18</v>
      </c>
      <c r="D21" s="17">
        <f>'עד 50'!D21+'50-60'!D21+'60+'!D21</f>
        <v>0</v>
      </c>
      <c r="F21" s="21"/>
    </row>
    <row r="22" spans="3:6" ht="15.75" x14ac:dyDescent="0.25">
      <c r="C22" s="4" t="s">
        <v>19</v>
      </c>
      <c r="D22" s="17">
        <f>'עד 50'!D22+'50-60'!D22+'60+'!D22</f>
        <v>0.191304165</v>
      </c>
      <c r="F22" s="21"/>
    </row>
    <row r="23" spans="3:6" ht="15.75" x14ac:dyDescent="0.25">
      <c r="C23" s="4" t="s">
        <v>20</v>
      </c>
      <c r="D23" s="17">
        <f>'עד 50'!D23+'50-60'!D23+'60+'!D23</f>
        <v>27.496995898000002</v>
      </c>
      <c r="F23" s="21"/>
    </row>
    <row r="24" spans="3:6" ht="15.75" x14ac:dyDescent="0.25">
      <c r="C24" s="4" t="s">
        <v>139</v>
      </c>
      <c r="D24" s="17">
        <f>'עד 50'!D24+'50-60'!D24+'60+'!D24</f>
        <v>2.9159253249999995</v>
      </c>
      <c r="F24" s="21"/>
    </row>
    <row r="25" spans="3:6" ht="15.75" x14ac:dyDescent="0.25">
      <c r="C25" s="4" t="s">
        <v>21</v>
      </c>
      <c r="D25" s="17">
        <f>'עד 50'!D25+'50-60'!D25+'60+'!D25</f>
        <v>0</v>
      </c>
      <c r="F25" s="21"/>
    </row>
    <row r="26" spans="3:6" ht="15.75" x14ac:dyDescent="0.25">
      <c r="C26" s="4"/>
      <c r="D26" s="20"/>
      <c r="F26" s="21"/>
    </row>
    <row r="27" spans="3:6" ht="15.75" x14ac:dyDescent="0.25">
      <c r="C27" s="4" t="s">
        <v>22</v>
      </c>
      <c r="D27" s="17">
        <f>'עד 50'!D27+'50-60'!D27+'60+'!D27</f>
        <v>0</v>
      </c>
      <c r="F27" s="21"/>
    </row>
    <row r="28" spans="3:6" ht="15.75" x14ac:dyDescent="0.25">
      <c r="C28" s="4" t="s">
        <v>23</v>
      </c>
      <c r="D28" s="17">
        <f>'עד 50'!D28+'50-60'!D28+'60+'!D28</f>
        <v>0</v>
      </c>
      <c r="F28" s="21"/>
    </row>
    <row r="29" spans="3:6" ht="15.75" x14ac:dyDescent="0.25">
      <c r="C29" s="4" t="s">
        <v>24</v>
      </c>
      <c r="D29" s="17">
        <f>'עד 50'!D29+'50-60'!D29+'60+'!D29</f>
        <v>0</v>
      </c>
      <c r="F29" s="21"/>
    </row>
    <row r="30" spans="3:6" ht="15.75" x14ac:dyDescent="0.25">
      <c r="C30" s="4"/>
      <c r="D30" s="20"/>
      <c r="F30" s="21"/>
    </row>
    <row r="31" spans="3:6" ht="15.75" x14ac:dyDescent="0.25">
      <c r="C31" s="4" t="s">
        <v>25</v>
      </c>
      <c r="D31" s="17">
        <f>'עד 50'!D31+'50-60'!D31+'60+'!D31</f>
        <v>2731.5671073373337</v>
      </c>
      <c r="F31" s="21"/>
    </row>
    <row r="32" spans="3:6" ht="15.75" x14ac:dyDescent="0.25">
      <c r="C32" s="4"/>
      <c r="D32" s="19"/>
    </row>
    <row r="33" spans="3:5" ht="15.75" x14ac:dyDescent="0.25">
      <c r="C33" s="4" t="s">
        <v>26</v>
      </c>
    </row>
    <row r="34" spans="3:5" ht="15.75" x14ac:dyDescent="0.25">
      <c r="C34" s="4" t="s">
        <v>27</v>
      </c>
      <c r="D34" s="6">
        <f>(D12+D16+D29)/D41</f>
        <v>1.6570619076387474E-3</v>
      </c>
      <c r="E34" s="17"/>
    </row>
    <row r="35" spans="3:5" ht="15.75" x14ac:dyDescent="0.25">
      <c r="C35" s="4" t="s">
        <v>28</v>
      </c>
      <c r="D35" s="6">
        <f>D31/D41</f>
        <v>1.8966757062150975E-3</v>
      </c>
      <c r="E35" s="17"/>
    </row>
    <row r="36" spans="3:5" ht="15.75" x14ac:dyDescent="0.25">
      <c r="C36" s="4"/>
    </row>
    <row r="37" spans="3:5" ht="15.75" x14ac:dyDescent="0.25">
      <c r="C37" s="4" t="s">
        <v>29</v>
      </c>
      <c r="D37" s="5">
        <f>(D39+D41)/2</f>
        <v>1432934.6850000001</v>
      </c>
    </row>
    <row r="39" spans="3:5" x14ac:dyDescent="0.25">
      <c r="C39" s="7" t="s">
        <v>30</v>
      </c>
      <c r="D39" s="5">
        <v>1425682.68</v>
      </c>
    </row>
    <row r="41" spans="3:5" x14ac:dyDescent="0.25">
      <c r="C41" s="7" t="s">
        <v>31</v>
      </c>
      <c r="D41" s="5">
        <v>1440186.69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EBB1-8836-4111-A9F2-55CC7CEF3938}">
  <dimension ref="C1:D39"/>
  <sheetViews>
    <sheetView rightToLeft="1" workbookViewId="0"/>
  </sheetViews>
  <sheetFormatPr defaultRowHeight="15" x14ac:dyDescent="0.25"/>
  <cols>
    <col min="3" max="3" width="54.75" style="8" customWidth="1"/>
    <col min="4" max="4" width="13.625" style="10" customWidth="1"/>
  </cols>
  <sheetData>
    <row r="1" spans="3:4" x14ac:dyDescent="0.25">
      <c r="C1" s="8" t="s">
        <v>32</v>
      </c>
      <c r="D1" s="9"/>
    </row>
    <row r="2" spans="3:4" x14ac:dyDescent="0.25">
      <c r="C2" s="8" t="s">
        <v>1</v>
      </c>
      <c r="D2" s="9" t="s">
        <v>2</v>
      </c>
    </row>
    <row r="3" spans="3:4" x14ac:dyDescent="0.25">
      <c r="C3" s="8" t="s">
        <v>33</v>
      </c>
      <c r="D3" s="10" t="s">
        <v>34</v>
      </c>
    </row>
    <row r="4" spans="3:4" x14ac:dyDescent="0.25">
      <c r="C4" s="11" t="s">
        <v>35</v>
      </c>
      <c r="D4" s="10" t="s">
        <v>34</v>
      </c>
    </row>
    <row r="5" spans="3:4" x14ac:dyDescent="0.25">
      <c r="C5" s="8" t="s">
        <v>36</v>
      </c>
      <c r="D5" s="10">
        <v>0</v>
      </c>
    </row>
    <row r="6" spans="3:4" x14ac:dyDescent="0.25">
      <c r="C6" s="8" t="s">
        <v>37</v>
      </c>
      <c r="D6" s="10" t="s">
        <v>34</v>
      </c>
    </row>
    <row r="7" spans="3:4" ht="14.25" x14ac:dyDescent="0.2">
      <c r="C7" s="22" t="s">
        <v>133</v>
      </c>
      <c r="D7" s="23">
        <v>0.91</v>
      </c>
    </row>
    <row r="8" spans="3:4" ht="14.25" x14ac:dyDescent="0.2">
      <c r="C8" s="12" t="s">
        <v>38</v>
      </c>
      <c r="D8" s="23">
        <f>45.53479189+136.86</f>
        <v>182.39479189000002</v>
      </c>
    </row>
    <row r="9" spans="3:4" ht="14.25" x14ac:dyDescent="0.2">
      <c r="C9" s="22" t="s">
        <v>134</v>
      </c>
      <c r="D9" s="23">
        <v>1.25</v>
      </c>
    </row>
    <row r="10" spans="3:4" ht="14.25" x14ac:dyDescent="0.2">
      <c r="C10" s="12" t="s">
        <v>39</v>
      </c>
      <c r="D10" s="23">
        <f>26.66834388+118.54</f>
        <v>145.20834388</v>
      </c>
    </row>
    <row r="11" spans="3:4" ht="14.25" x14ac:dyDescent="0.2">
      <c r="C11" s="12" t="s">
        <v>40</v>
      </c>
      <c r="D11" s="23">
        <f>0.00384768+0.01</f>
        <v>1.3847680000000001E-2</v>
      </c>
    </row>
    <row r="12" spans="3:4" x14ac:dyDescent="0.25">
      <c r="C12" s="8" t="s">
        <v>41</v>
      </c>
      <c r="D12" s="10">
        <f>SUM(D7:D11)</f>
        <v>329.77698345000005</v>
      </c>
    </row>
    <row r="13" spans="3:4" x14ac:dyDescent="0.25">
      <c r="C13" s="8" t="s">
        <v>42</v>
      </c>
      <c r="D13" s="10">
        <f>D12+D5</f>
        <v>329.77698345000005</v>
      </c>
    </row>
    <row r="14" spans="3:4" x14ac:dyDescent="0.25">
      <c r="C14" s="8" t="s">
        <v>43</v>
      </c>
      <c r="D14" s="10" t="s">
        <v>34</v>
      </c>
    </row>
    <row r="15" spans="3:4" x14ac:dyDescent="0.25">
      <c r="C15" s="8" t="s">
        <v>35</v>
      </c>
      <c r="D15" s="10" t="s">
        <v>34</v>
      </c>
    </row>
    <row r="16" spans="3:4" x14ac:dyDescent="0.25">
      <c r="C16" s="8" t="s">
        <v>44</v>
      </c>
      <c r="D16" s="10">
        <v>0</v>
      </c>
    </row>
    <row r="17" spans="3:4" x14ac:dyDescent="0.25">
      <c r="C17" s="8" t="s">
        <v>45</v>
      </c>
    </row>
    <row r="18" spans="3:4" ht="14.25" x14ac:dyDescent="0.2">
      <c r="C18" s="12" t="s">
        <v>38</v>
      </c>
      <c r="D18" s="23">
        <f>3.22162+12.07</f>
        <v>15.29162</v>
      </c>
    </row>
    <row r="19" spans="3:4" x14ac:dyDescent="0.25">
      <c r="C19" s="12" t="s">
        <v>46</v>
      </c>
      <c r="D19" s="10">
        <v>0</v>
      </c>
    </row>
    <row r="20" spans="3:4" x14ac:dyDescent="0.25">
      <c r="C20" s="8" t="s">
        <v>47</v>
      </c>
      <c r="D20" s="10">
        <f>SUM(D18:D19)</f>
        <v>15.29162</v>
      </c>
    </row>
    <row r="21" spans="3:4" x14ac:dyDescent="0.25">
      <c r="C21" s="8" t="s">
        <v>48</v>
      </c>
      <c r="D21" s="17">
        <f>D20+D16</f>
        <v>15.29162</v>
      </c>
    </row>
    <row r="22" spans="3:4" x14ac:dyDescent="0.25">
      <c r="C22" s="8" t="s">
        <v>49</v>
      </c>
      <c r="D22" s="10">
        <v>0</v>
      </c>
    </row>
    <row r="23" spans="3:4" x14ac:dyDescent="0.25">
      <c r="C23" s="8" t="s">
        <v>50</v>
      </c>
      <c r="D23" s="10">
        <v>0</v>
      </c>
    </row>
    <row r="24" spans="3:4" x14ac:dyDescent="0.25">
      <c r="C24" s="8" t="s">
        <v>51</v>
      </c>
      <c r="D24" s="10" t="s">
        <v>34</v>
      </c>
    </row>
    <row r="25" spans="3:4" x14ac:dyDescent="0.25">
      <c r="C25" s="8" t="s">
        <v>52</v>
      </c>
      <c r="D25" s="10">
        <v>0</v>
      </c>
    </row>
    <row r="26" spans="3:4" x14ac:dyDescent="0.25">
      <c r="C26" s="8" t="s">
        <v>53</v>
      </c>
      <c r="D26" s="10">
        <v>0</v>
      </c>
    </row>
    <row r="27" spans="3:4" x14ac:dyDescent="0.25">
      <c r="C27" s="8" t="s">
        <v>50</v>
      </c>
      <c r="D27" s="10">
        <v>0</v>
      </c>
    </row>
    <row r="28" spans="3:4" x14ac:dyDescent="0.25">
      <c r="C28" s="8" t="s">
        <v>51</v>
      </c>
      <c r="D28" s="10" t="s">
        <v>34</v>
      </c>
    </row>
    <row r="29" spans="3:4" x14ac:dyDescent="0.25">
      <c r="C29" s="8" t="s">
        <v>54</v>
      </c>
      <c r="D29" s="10">
        <v>0</v>
      </c>
    </row>
    <row r="30" spans="3:4" x14ac:dyDescent="0.25">
      <c r="C30" s="8" t="s">
        <v>55</v>
      </c>
      <c r="D30" s="10" t="s">
        <v>34</v>
      </c>
    </row>
    <row r="31" spans="3:4" x14ac:dyDescent="0.25">
      <c r="C31" s="8" t="s">
        <v>50</v>
      </c>
      <c r="D31" s="10" t="s">
        <v>34</v>
      </c>
    </row>
    <row r="32" spans="3:4" x14ac:dyDescent="0.25">
      <c r="C32" s="8" t="s">
        <v>51</v>
      </c>
      <c r="D32" s="10" t="s">
        <v>34</v>
      </c>
    </row>
    <row r="33" spans="3:4" x14ac:dyDescent="0.25">
      <c r="C33" s="8" t="s">
        <v>56</v>
      </c>
      <c r="D33" s="10">
        <v>0</v>
      </c>
    </row>
    <row r="34" spans="3:4" x14ac:dyDescent="0.25">
      <c r="C34" s="8" t="s">
        <v>57</v>
      </c>
      <c r="D34" s="10" t="s">
        <v>34</v>
      </c>
    </row>
    <row r="35" spans="3:4" x14ac:dyDescent="0.25">
      <c r="C35" s="8" t="s">
        <v>50</v>
      </c>
      <c r="D35" s="10" t="s">
        <v>34</v>
      </c>
    </row>
    <row r="36" spans="3:4" x14ac:dyDescent="0.25">
      <c r="C36" s="8" t="s">
        <v>51</v>
      </c>
      <c r="D36" s="10" t="s">
        <v>34</v>
      </c>
    </row>
    <row r="37" spans="3:4" x14ac:dyDescent="0.25">
      <c r="C37" s="8" t="s">
        <v>58</v>
      </c>
      <c r="D37" s="10">
        <v>0</v>
      </c>
    </row>
    <row r="38" spans="3:4" x14ac:dyDescent="0.25">
      <c r="C38" s="8" t="s">
        <v>59</v>
      </c>
      <c r="D38" s="17">
        <f>D13+D21+D25+D29+D33+D37</f>
        <v>345.06860345000007</v>
      </c>
    </row>
    <row r="39" spans="3:4" x14ac:dyDescent="0.25">
      <c r="C39" s="8" t="s">
        <v>60</v>
      </c>
      <c r="D39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9E035-BD34-4EAD-9F32-3A81B14929EB}">
  <dimension ref="C1:D102"/>
  <sheetViews>
    <sheetView rightToLeft="1" topLeftCell="A19" workbookViewId="0">
      <selection activeCell="D51" sqref="D51:D52"/>
    </sheetView>
  </sheetViews>
  <sheetFormatPr defaultRowHeight="15" x14ac:dyDescent="0.25"/>
  <cols>
    <col min="3" max="3" width="53.25" style="8" bestFit="1" customWidth="1"/>
    <col min="4" max="4" width="13.5" style="7" bestFit="1" customWidth="1"/>
  </cols>
  <sheetData>
    <row r="1" spans="3:4" x14ac:dyDescent="0.25">
      <c r="C1" s="8" t="s">
        <v>61</v>
      </c>
      <c r="D1" s="13"/>
    </row>
    <row r="2" spans="3:4" x14ac:dyDescent="0.25">
      <c r="C2" s="8" t="s">
        <v>1</v>
      </c>
      <c r="D2" s="14" t="s">
        <v>62</v>
      </c>
    </row>
    <row r="3" spans="3:4" x14ac:dyDescent="0.25">
      <c r="C3" s="15"/>
      <c r="D3" s="16" t="s">
        <v>34</v>
      </c>
    </row>
    <row r="4" spans="3:4" x14ac:dyDescent="0.25">
      <c r="C4" s="8" t="s">
        <v>135</v>
      </c>
      <c r="D4" s="16"/>
    </row>
    <row r="5" spans="3:4" ht="14.25" x14ac:dyDescent="0.2">
      <c r="C5" s="26" t="s">
        <v>71</v>
      </c>
      <c r="D5" s="16">
        <v>12.022295999999999</v>
      </c>
    </row>
    <row r="6" spans="3:4" ht="14.25" x14ac:dyDescent="0.2">
      <c r="C6" s="26" t="s">
        <v>72</v>
      </c>
      <c r="D6" s="16">
        <v>64.459043999999992</v>
      </c>
    </row>
    <row r="7" spans="3:4" ht="14.25" x14ac:dyDescent="0.2">
      <c r="C7" s="26" t="s">
        <v>73</v>
      </c>
      <c r="D7" s="16">
        <v>29.933812350000004</v>
      </c>
    </row>
    <row r="8" spans="3:4" ht="14.25" x14ac:dyDescent="0.2">
      <c r="C8" s="26" t="s">
        <v>74</v>
      </c>
      <c r="D8" s="16">
        <v>31.946615999999999</v>
      </c>
    </row>
    <row r="9" spans="3:4" ht="14.25" x14ac:dyDescent="0.2">
      <c r="C9" s="26" t="s">
        <v>79</v>
      </c>
      <c r="D9" s="16">
        <v>155.29599999999999</v>
      </c>
    </row>
    <row r="10" spans="3:4" ht="14.25" x14ac:dyDescent="0.2">
      <c r="C10" s="26" t="s">
        <v>80</v>
      </c>
      <c r="D10" s="16">
        <v>80.086500000000001</v>
      </c>
    </row>
    <row r="11" spans="3:4" ht="14.25" x14ac:dyDescent="0.2">
      <c r="C11" s="26" t="s">
        <v>83</v>
      </c>
      <c r="D11" s="16">
        <v>121.63702000000001</v>
      </c>
    </row>
    <row r="12" spans="3:4" ht="14.25" x14ac:dyDescent="0.2">
      <c r="C12" s="26" t="s">
        <v>84</v>
      </c>
      <c r="D12" s="16">
        <v>102.66746999999999</v>
      </c>
    </row>
    <row r="13" spans="3:4" ht="14.25" x14ac:dyDescent="0.2">
      <c r="C13" s="26" t="s">
        <v>93</v>
      </c>
      <c r="D13" s="16">
        <v>38.378089999999993</v>
      </c>
    </row>
    <row r="14" spans="3:4" ht="14.25" x14ac:dyDescent="0.2">
      <c r="C14" s="26" t="s">
        <v>94</v>
      </c>
      <c r="D14" s="16">
        <v>9.2959999999999994</v>
      </c>
    </row>
    <row r="15" spans="3:4" ht="14.25" x14ac:dyDescent="0.2">
      <c r="C15" s="26" t="s">
        <v>95</v>
      </c>
      <c r="D15" s="16">
        <v>6.4653333333333327</v>
      </c>
    </row>
    <row r="16" spans="3:4" ht="14.25" x14ac:dyDescent="0.2">
      <c r="C16" s="26" t="s">
        <v>96</v>
      </c>
      <c r="D16" s="16">
        <v>25.270440000000001</v>
      </c>
    </row>
    <row r="17" spans="3:4" ht="14.25" x14ac:dyDescent="0.2">
      <c r="C17" s="26" t="s">
        <v>97</v>
      </c>
      <c r="D17" s="16">
        <v>7.5828479999999994</v>
      </c>
    </row>
    <row r="18" spans="3:4" ht="14.25" x14ac:dyDescent="0.2">
      <c r="C18" s="26" t="s">
        <v>99</v>
      </c>
      <c r="D18" s="16">
        <v>1.294</v>
      </c>
    </row>
    <row r="19" spans="3:4" ht="14.25" x14ac:dyDescent="0.2">
      <c r="C19" s="26" t="s">
        <v>100</v>
      </c>
      <c r="D19" s="16">
        <v>0.49542000000000003</v>
      </c>
    </row>
    <row r="20" spans="3:4" ht="14.25" x14ac:dyDescent="0.2">
      <c r="C20" s="26" t="s">
        <v>101</v>
      </c>
      <c r="D20" s="16">
        <v>0.56474000000000002</v>
      </c>
    </row>
    <row r="21" spans="3:4" ht="14.25" x14ac:dyDescent="0.2">
      <c r="C21" s="26" t="s">
        <v>102</v>
      </c>
      <c r="D21" s="16">
        <v>0.39194999999999997</v>
      </c>
    </row>
    <row r="22" spans="3:4" ht="14.25" x14ac:dyDescent="0.2">
      <c r="C22" s="26" t="s">
        <v>103</v>
      </c>
      <c r="D22" s="16">
        <v>4.68</v>
      </c>
    </row>
    <row r="23" spans="3:4" ht="14.25" x14ac:dyDescent="0.2">
      <c r="C23" s="26" t="s">
        <v>104</v>
      </c>
      <c r="D23" s="16">
        <v>0.37439999999999996</v>
      </c>
    </row>
    <row r="24" spans="3:4" ht="14.25" x14ac:dyDescent="0.2">
      <c r="C24" s="26" t="s">
        <v>105</v>
      </c>
      <c r="D24" s="16">
        <v>0</v>
      </c>
    </row>
    <row r="25" spans="3:4" ht="14.25" x14ac:dyDescent="0.2">
      <c r="C25" s="26" t="s">
        <v>106</v>
      </c>
      <c r="D25" s="16">
        <v>1.4379300000000002</v>
      </c>
    </row>
    <row r="26" spans="3:4" x14ac:dyDescent="0.25">
      <c r="C26" s="27" t="s">
        <v>137</v>
      </c>
      <c r="D26" s="25">
        <f>SUM(D5:D25)</f>
        <v>694.27990968333336</v>
      </c>
    </row>
    <row r="27" spans="3:4" x14ac:dyDescent="0.25">
      <c r="C27" s="27" t="s">
        <v>138</v>
      </c>
      <c r="D27" s="16"/>
    </row>
    <row r="28" spans="3:4" ht="14.25" x14ac:dyDescent="0.2">
      <c r="C28" s="26" t="s">
        <v>63</v>
      </c>
      <c r="D28" s="16">
        <v>86.057828999999998</v>
      </c>
    </row>
    <row r="29" spans="3:4" ht="14.25" x14ac:dyDescent="0.2">
      <c r="C29" s="26" t="s">
        <v>64</v>
      </c>
      <c r="D29" s="16">
        <v>68.569643999999982</v>
      </c>
    </row>
    <row r="30" spans="3:4" ht="14.25" x14ac:dyDescent="0.2">
      <c r="C30" s="26" t="s">
        <v>65</v>
      </c>
      <c r="D30" s="16">
        <v>125.10132335999999</v>
      </c>
    </row>
    <row r="31" spans="3:4" ht="14.25" x14ac:dyDescent="0.2">
      <c r="C31" s="26" t="s">
        <v>66</v>
      </c>
      <c r="D31" s="16">
        <v>65.279471400000006</v>
      </c>
    </row>
    <row r="32" spans="3:4" ht="14.25" x14ac:dyDescent="0.2">
      <c r="C32" s="26" t="s">
        <v>67</v>
      </c>
      <c r="D32" s="16">
        <v>130.22830547999999</v>
      </c>
    </row>
    <row r="33" spans="3:4" ht="14.25" x14ac:dyDescent="0.2">
      <c r="C33" s="26" t="s">
        <v>68</v>
      </c>
      <c r="D33" s="16">
        <v>81.588155999999998</v>
      </c>
    </row>
    <row r="34" spans="3:4" ht="14.25" x14ac:dyDescent="0.2">
      <c r="C34" s="26" t="s">
        <v>69</v>
      </c>
      <c r="D34" s="16">
        <v>63.312911999999997</v>
      </c>
    </row>
    <row r="35" spans="3:4" ht="14.25" x14ac:dyDescent="0.2">
      <c r="C35" s="26" t="s">
        <v>70</v>
      </c>
      <c r="D35" s="16">
        <v>132.38279999999997</v>
      </c>
    </row>
    <row r="36" spans="3:4" ht="14.25" x14ac:dyDescent="0.2">
      <c r="C36" s="26" t="s">
        <v>75</v>
      </c>
      <c r="D36" s="16">
        <v>98.006375999999989</v>
      </c>
    </row>
    <row r="37" spans="3:4" ht="14.25" x14ac:dyDescent="0.2">
      <c r="C37" s="26" t="s">
        <v>76</v>
      </c>
      <c r="D37" s="16">
        <v>46.138748800000002</v>
      </c>
    </row>
    <row r="38" spans="3:4" ht="14.25" x14ac:dyDescent="0.2">
      <c r="C38" s="26" t="s">
        <v>77</v>
      </c>
      <c r="D38" s="16">
        <v>50.686115999999991</v>
      </c>
    </row>
    <row r="39" spans="3:4" ht="14.25" x14ac:dyDescent="0.2">
      <c r="C39" s="26" t="s">
        <v>78</v>
      </c>
      <c r="D39" s="16">
        <v>119.07987467999999</v>
      </c>
    </row>
    <row r="40" spans="3:4" ht="14.25" x14ac:dyDescent="0.2">
      <c r="C40" s="26" t="s">
        <v>81</v>
      </c>
      <c r="D40" s="16">
        <v>43.446623999999993</v>
      </c>
    </row>
    <row r="41" spans="3:4" ht="14.25" x14ac:dyDescent="0.2">
      <c r="C41" s="26" t="s">
        <v>82</v>
      </c>
      <c r="D41" s="16">
        <v>55.652231455999996</v>
      </c>
    </row>
    <row r="42" spans="3:4" ht="14.25" x14ac:dyDescent="0.2">
      <c r="C42" s="26" t="s">
        <v>85</v>
      </c>
      <c r="D42" s="16">
        <v>101.61809424</v>
      </c>
    </row>
    <row r="43" spans="3:4" ht="14.25" x14ac:dyDescent="0.2">
      <c r="C43" s="26" t="s">
        <v>86</v>
      </c>
      <c r="D43" s="16">
        <v>108.49807799999999</v>
      </c>
    </row>
    <row r="44" spans="3:4" ht="14.25" x14ac:dyDescent="0.2">
      <c r="C44" s="26" t="s">
        <v>87</v>
      </c>
      <c r="D44" s="16">
        <v>31.924854</v>
      </c>
    </row>
    <row r="45" spans="3:4" ht="14.25" x14ac:dyDescent="0.2">
      <c r="C45" s="26" t="s">
        <v>88</v>
      </c>
      <c r="D45" s="16">
        <v>32.050562399999997</v>
      </c>
    </row>
    <row r="46" spans="3:4" ht="14.25" x14ac:dyDescent="0.2">
      <c r="C46" s="26" t="s">
        <v>89</v>
      </c>
      <c r="D46" s="16">
        <v>10.511045999999999</v>
      </c>
    </row>
    <row r="47" spans="3:4" ht="14.25" x14ac:dyDescent="0.2">
      <c r="C47" s="26" t="s">
        <v>90</v>
      </c>
      <c r="D47" s="16">
        <v>17.935514999999999</v>
      </c>
    </row>
    <row r="48" spans="3:4" ht="14.25" x14ac:dyDescent="0.2">
      <c r="C48" s="26" t="s">
        <v>91</v>
      </c>
      <c r="D48" s="16">
        <v>12.259259999999998</v>
      </c>
    </row>
    <row r="49" spans="3:4" ht="14.25" x14ac:dyDescent="0.2">
      <c r="C49" s="26" t="s">
        <v>92</v>
      </c>
      <c r="D49" s="16">
        <v>14.663960999999999</v>
      </c>
    </row>
    <row r="50" spans="3:4" ht="14.25" x14ac:dyDescent="0.2">
      <c r="C50" s="26" t="s">
        <v>98</v>
      </c>
      <c r="D50" s="16">
        <v>70.930436799999981</v>
      </c>
    </row>
    <row r="51" spans="3:4" ht="14.25" x14ac:dyDescent="0.2">
      <c r="C51" s="26" t="s">
        <v>140</v>
      </c>
      <c r="D51" s="16">
        <v>9.6759792000000004</v>
      </c>
    </row>
    <row r="52" spans="3:4" ht="14.25" x14ac:dyDescent="0.2">
      <c r="C52" s="26" t="s">
        <v>141</v>
      </c>
      <c r="D52" s="16">
        <v>85.996169999999992</v>
      </c>
    </row>
    <row r="53" spans="3:4" x14ac:dyDescent="0.25">
      <c r="C53" s="24" t="s">
        <v>136</v>
      </c>
      <c r="D53" s="25">
        <f>SUM(D28:D52)</f>
        <v>1661.5943688159998</v>
      </c>
    </row>
    <row r="54" spans="3:4" x14ac:dyDescent="0.25">
      <c r="C54" s="8" t="s">
        <v>107</v>
      </c>
      <c r="D54" s="16">
        <f>D53+D26</f>
        <v>2355.8742784993333</v>
      </c>
    </row>
    <row r="55" spans="3:4" x14ac:dyDescent="0.25">
      <c r="C55" s="8" t="s">
        <v>108</v>
      </c>
      <c r="D55" s="16" t="s">
        <v>34</v>
      </c>
    </row>
    <row r="56" spans="3:4" ht="14.25" x14ac:dyDescent="0.2">
      <c r="C56" s="12" t="s">
        <v>50</v>
      </c>
      <c r="D56" s="16" t="s">
        <v>34</v>
      </c>
    </row>
    <row r="57" spans="3:4" ht="14.25" x14ac:dyDescent="0.2">
      <c r="C57" s="12" t="s">
        <v>51</v>
      </c>
      <c r="D57" s="16" t="s">
        <v>34</v>
      </c>
    </row>
    <row r="58" spans="3:4" x14ac:dyDescent="0.25">
      <c r="C58" s="8" t="s">
        <v>109</v>
      </c>
      <c r="D58" s="16" t="s">
        <v>34</v>
      </c>
    </row>
    <row r="59" spans="3:4" x14ac:dyDescent="0.25">
      <c r="C59" s="8" t="s">
        <v>110</v>
      </c>
      <c r="D59" s="16" t="s">
        <v>34</v>
      </c>
    </row>
    <row r="60" spans="3:4" ht="14.25" x14ac:dyDescent="0.2">
      <c r="C60" s="12" t="s">
        <v>50</v>
      </c>
      <c r="D60" s="16" t="s">
        <v>34</v>
      </c>
    </row>
    <row r="61" spans="3:4" ht="14.25" x14ac:dyDescent="0.2">
      <c r="C61" s="12" t="s">
        <v>51</v>
      </c>
      <c r="D61" s="16" t="s">
        <v>34</v>
      </c>
    </row>
    <row r="62" spans="3:4" x14ac:dyDescent="0.25">
      <c r="C62" s="8" t="s">
        <v>111</v>
      </c>
      <c r="D62" s="16" t="s">
        <v>34</v>
      </c>
    </row>
    <row r="63" spans="3:4" x14ac:dyDescent="0.25">
      <c r="C63" s="8" t="s">
        <v>112</v>
      </c>
      <c r="D63" s="16" t="s">
        <v>34</v>
      </c>
    </row>
    <row r="64" spans="3:4" x14ac:dyDescent="0.25">
      <c r="C64" s="8" t="s">
        <v>113</v>
      </c>
      <c r="D64" s="16">
        <f>SUM(D65:D66)</f>
        <v>2.9153202889999998</v>
      </c>
    </row>
    <row r="65" spans="3:4" ht="14.25" x14ac:dyDescent="0.2">
      <c r="C65" s="12" t="s">
        <v>114</v>
      </c>
      <c r="D65" s="16">
        <f>0.36+0.00338+0.1804-0.01-0.528545</f>
        <v>5.2349999999998786E-3</v>
      </c>
    </row>
    <row r="66" spans="3:4" ht="14.25" x14ac:dyDescent="0.2">
      <c r="C66" s="12" t="s">
        <v>115</v>
      </c>
      <c r="D66" s="16">
        <f>0.280085289+2.63</f>
        <v>2.910085289</v>
      </c>
    </row>
    <row r="67" spans="3:4" x14ac:dyDescent="0.25">
      <c r="C67" s="8" t="s">
        <v>116</v>
      </c>
      <c r="D67" s="16">
        <v>0</v>
      </c>
    </row>
    <row r="68" spans="3:4" x14ac:dyDescent="0.25">
      <c r="C68" s="8" t="s">
        <v>117</v>
      </c>
      <c r="D68" s="16">
        <f>D64+D67</f>
        <v>2.9153202889999998</v>
      </c>
    </row>
    <row r="69" spans="3:4" x14ac:dyDescent="0.25">
      <c r="C69" s="8" t="s">
        <v>118</v>
      </c>
      <c r="D69" s="16" t="s">
        <v>34</v>
      </c>
    </row>
    <row r="70" spans="3:4" x14ac:dyDescent="0.25">
      <c r="C70" s="8" t="s">
        <v>119</v>
      </c>
      <c r="D70" s="16"/>
    </row>
    <row r="71" spans="3:4" ht="14.25" x14ac:dyDescent="0.2">
      <c r="C71" s="12" t="s">
        <v>120</v>
      </c>
      <c r="D71" s="16">
        <f>0.059804165+0.03016</f>
        <v>8.9964164999999999E-2</v>
      </c>
    </row>
    <row r="72" spans="3:4" ht="14.25" x14ac:dyDescent="0.2">
      <c r="C72" s="22" t="s">
        <v>115</v>
      </c>
      <c r="D72" s="16">
        <v>0.08</v>
      </c>
    </row>
    <row r="73" spans="3:4" ht="14.25" x14ac:dyDescent="0.2">
      <c r="C73" s="22" t="s">
        <v>114</v>
      </c>
      <c r="D73" s="16">
        <v>2.1655000000000001E-2</v>
      </c>
    </row>
    <row r="74" spans="3:4" x14ac:dyDescent="0.25">
      <c r="C74" s="8" t="s">
        <v>121</v>
      </c>
      <c r="D74" s="16">
        <f>SUM(D71:D73)</f>
        <v>0.19161916500000001</v>
      </c>
    </row>
    <row r="75" spans="3:4" x14ac:dyDescent="0.25">
      <c r="C75" s="8" t="s">
        <v>122</v>
      </c>
      <c r="D75" s="16"/>
    </row>
    <row r="76" spans="3:4" ht="14.25" x14ac:dyDescent="0.2">
      <c r="C76" s="12" t="s">
        <v>123</v>
      </c>
      <c r="D76" s="16">
        <f>0.071826922+4.36</f>
        <v>4.4318269219999999</v>
      </c>
    </row>
    <row r="77" spans="3:4" ht="14.25" x14ac:dyDescent="0.2">
      <c r="C77" s="12" t="s">
        <v>124</v>
      </c>
      <c r="D77" s="16">
        <f>0.405168976+2.62</f>
        <v>3.0251689760000002</v>
      </c>
    </row>
    <row r="78" spans="3:4" ht="14.25" x14ac:dyDescent="0.2">
      <c r="C78" s="22" t="s">
        <v>130</v>
      </c>
      <c r="D78" s="16">
        <v>7.0000000000000007E-2</v>
      </c>
    </row>
    <row r="79" spans="3:4" ht="14.25" x14ac:dyDescent="0.2">
      <c r="C79" s="22" t="s">
        <v>131</v>
      </c>
      <c r="D79" s="16">
        <v>0.01</v>
      </c>
    </row>
    <row r="80" spans="3:4" ht="14.25" x14ac:dyDescent="0.2">
      <c r="C80" s="22" t="s">
        <v>132</v>
      </c>
      <c r="D80" s="16">
        <v>19.96</v>
      </c>
    </row>
    <row r="81" spans="3:4" x14ac:dyDescent="0.25">
      <c r="C81" s="8" t="s">
        <v>125</v>
      </c>
      <c r="D81" s="16">
        <f>SUM(D76:D80)</f>
        <v>27.496995898000002</v>
      </c>
    </row>
    <row r="82" spans="3:4" x14ac:dyDescent="0.25">
      <c r="C82" s="8" t="s">
        <v>126</v>
      </c>
      <c r="D82" s="16">
        <f>D54+D68+D74+D81</f>
        <v>2386.4782138513333</v>
      </c>
    </row>
    <row r="83" spans="3:4" x14ac:dyDescent="0.25">
      <c r="C83" s="8" t="s">
        <v>60</v>
      </c>
      <c r="D83" s="16">
        <v>0</v>
      </c>
    </row>
    <row r="84" spans="3:4" x14ac:dyDescent="0.25">
      <c r="C84" s="12"/>
    </row>
    <row r="85" spans="3:4" x14ac:dyDescent="0.25">
      <c r="C85" s="12"/>
    </row>
    <row r="86" spans="3:4" x14ac:dyDescent="0.25">
      <c r="C86" s="12"/>
    </row>
    <row r="87" spans="3:4" x14ac:dyDescent="0.25">
      <c r="C87" s="12"/>
    </row>
    <row r="88" spans="3:4" x14ac:dyDescent="0.25">
      <c r="C88" s="12"/>
    </row>
    <row r="89" spans="3:4" x14ac:dyDescent="0.25">
      <c r="C89" s="12"/>
    </row>
    <row r="90" spans="3:4" x14ac:dyDescent="0.25">
      <c r="C90" s="12"/>
    </row>
    <row r="91" spans="3:4" x14ac:dyDescent="0.25">
      <c r="C91" s="12"/>
    </row>
    <row r="92" spans="3:4" x14ac:dyDescent="0.25">
      <c r="C92" s="12"/>
    </row>
    <row r="93" spans="3:4" x14ac:dyDescent="0.25">
      <c r="C93" s="12"/>
    </row>
    <row r="94" spans="3:4" x14ac:dyDescent="0.25">
      <c r="C94" s="12"/>
    </row>
    <row r="95" spans="3:4" x14ac:dyDescent="0.25">
      <c r="C95" s="12"/>
    </row>
    <row r="96" spans="3:4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24B4-ED71-4620-9098-184127F0C84E}">
  <dimension ref="C1:D41"/>
  <sheetViews>
    <sheetView rightToLeft="1" topLeftCell="A4" workbookViewId="0">
      <selection activeCell="C17" sqref="C17"/>
    </sheetView>
  </sheetViews>
  <sheetFormatPr defaultRowHeight="15" x14ac:dyDescent="0.25"/>
  <cols>
    <col min="3" max="3" width="58" style="7" customWidth="1"/>
    <col min="4" max="4" width="15" style="5" bestFit="1" customWidth="1"/>
  </cols>
  <sheetData>
    <row r="1" spans="3:4" x14ac:dyDescent="0.25">
      <c r="C1" s="1" t="s">
        <v>127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4" t="s">
        <v>3</v>
      </c>
      <c r="D3" s="17">
        <f>SUM(D4:D5)</f>
        <v>10.12681641</v>
      </c>
    </row>
    <row r="4" spans="3:4" ht="15.75" x14ac:dyDescent="0.25">
      <c r="C4" s="4" t="s">
        <v>4</v>
      </c>
      <c r="D4" s="17">
        <v>0</v>
      </c>
    </row>
    <row r="5" spans="3:4" ht="15.75" x14ac:dyDescent="0.25">
      <c r="C5" s="4" t="s">
        <v>5</v>
      </c>
      <c r="D5" s="17">
        <f>1.84681641+8.28</f>
        <v>10.12681641</v>
      </c>
    </row>
    <row r="6" spans="3:4" ht="15.75" x14ac:dyDescent="0.25">
      <c r="C6" s="4"/>
      <c r="D6" s="17">
        <v>0</v>
      </c>
    </row>
    <row r="7" spans="3:4" ht="15.75" x14ac:dyDescent="0.25">
      <c r="C7" s="4" t="s">
        <v>6</v>
      </c>
      <c r="D7" s="17">
        <f>SUM(D8:D9)</f>
        <v>0.23368</v>
      </c>
    </row>
    <row r="8" spans="3:4" ht="15.75" x14ac:dyDescent="0.25">
      <c r="C8" s="4" t="s">
        <v>7</v>
      </c>
      <c r="D8" s="17">
        <v>0</v>
      </c>
    </row>
    <row r="9" spans="3:4" ht="15.75" x14ac:dyDescent="0.25">
      <c r="C9" s="4" t="s">
        <v>8</v>
      </c>
      <c r="D9" s="17">
        <f>0.04368+0.19</f>
        <v>0.23368</v>
      </c>
    </row>
    <row r="10" spans="3:4" ht="15.75" x14ac:dyDescent="0.25">
      <c r="C10" s="4"/>
      <c r="D10" s="17">
        <v>0</v>
      </c>
    </row>
    <row r="11" spans="3:4" ht="15.75" x14ac:dyDescent="0.25">
      <c r="C11" s="4" t="s">
        <v>9</v>
      </c>
      <c r="D11" s="17">
        <f>SUM(D12:D14)</f>
        <v>0</v>
      </c>
    </row>
    <row r="12" spans="3:4" ht="15.75" x14ac:dyDescent="0.25">
      <c r="C12" s="4" t="s">
        <v>10</v>
      </c>
      <c r="D12" s="17">
        <v>0</v>
      </c>
    </row>
    <row r="13" spans="3:4" ht="15.75" x14ac:dyDescent="0.25">
      <c r="C13" s="4" t="s">
        <v>11</v>
      </c>
      <c r="D13" s="17">
        <v>0</v>
      </c>
    </row>
    <row r="14" spans="3:4" ht="15.75" x14ac:dyDescent="0.25">
      <c r="C14" s="4" t="s">
        <v>12</v>
      </c>
      <c r="D14" s="17">
        <v>0</v>
      </c>
    </row>
    <row r="15" spans="3:4" ht="15.75" x14ac:dyDescent="0.25">
      <c r="C15" s="4"/>
      <c r="D15" s="17"/>
    </row>
    <row r="16" spans="3:4" ht="15.75" x14ac:dyDescent="0.25">
      <c r="C16" s="4" t="s">
        <v>13</v>
      </c>
      <c r="D16" s="17">
        <f>SUM(D17:D25)</f>
        <v>2.4119760629999996</v>
      </c>
    </row>
    <row r="17" spans="3:4" ht="15.75" x14ac:dyDescent="0.25">
      <c r="C17" s="4" t="s">
        <v>14</v>
      </c>
      <c r="D17" s="17">
        <v>0</v>
      </c>
    </row>
    <row r="18" spans="3:4" ht="15.75" x14ac:dyDescent="0.25">
      <c r="C18" s="4" t="s">
        <v>15</v>
      </c>
      <c r="D18" s="17">
        <v>0</v>
      </c>
    </row>
    <row r="19" spans="3:4" ht="15.75" x14ac:dyDescent="0.25">
      <c r="C19" s="4" t="s">
        <v>16</v>
      </c>
      <c r="D19" s="17">
        <v>0</v>
      </c>
    </row>
    <row r="20" spans="3:4" ht="15.75" x14ac:dyDescent="0.25">
      <c r="C20" s="4" t="s">
        <v>17</v>
      </c>
      <c r="D20" s="17">
        <v>0</v>
      </c>
    </row>
    <row r="21" spans="3:4" ht="15.75" x14ac:dyDescent="0.25">
      <c r="C21" s="4" t="s">
        <v>18</v>
      </c>
      <c r="D21" s="17">
        <v>0</v>
      </c>
    </row>
    <row r="22" spans="3:4" ht="15.75" x14ac:dyDescent="0.25">
      <c r="C22" s="4" t="s">
        <v>19</v>
      </c>
      <c r="D22" s="17">
        <f>0.059804165+0.1215+0.01</f>
        <v>0.191304165</v>
      </c>
    </row>
    <row r="23" spans="3:4" ht="15.75" x14ac:dyDescent="0.25">
      <c r="C23" s="4" t="s">
        <v>20</v>
      </c>
      <c r="D23" s="17">
        <f>0.476995898+1.73</f>
        <v>2.2069958979999997</v>
      </c>
    </row>
    <row r="24" spans="3:4" ht="15.75" x14ac:dyDescent="0.25">
      <c r="C24" s="4" t="s">
        <v>139</v>
      </c>
      <c r="D24" s="17">
        <f>0.000296+0.02+0.00338-0.01</f>
        <v>1.3676000000000002E-2</v>
      </c>
    </row>
    <row r="25" spans="3:4" ht="15.75" x14ac:dyDescent="0.25">
      <c r="C25" s="4" t="s">
        <v>21</v>
      </c>
      <c r="D25" s="17">
        <v>0</v>
      </c>
    </row>
    <row r="26" spans="3:4" ht="15.75" x14ac:dyDescent="0.25">
      <c r="C26" s="4"/>
      <c r="D26" s="17"/>
    </row>
    <row r="27" spans="3:4" ht="15.75" x14ac:dyDescent="0.25">
      <c r="C27" s="4" t="s">
        <v>22</v>
      </c>
      <c r="D27" s="17">
        <f>SUM(D28:D29)</f>
        <v>0</v>
      </c>
    </row>
    <row r="28" spans="3:4" ht="15.75" x14ac:dyDescent="0.25">
      <c r="C28" s="4" t="s">
        <v>23</v>
      </c>
      <c r="D28" s="17"/>
    </row>
    <row r="29" spans="3:4" ht="15.75" x14ac:dyDescent="0.25">
      <c r="C29" s="4" t="s">
        <v>24</v>
      </c>
      <c r="D29" s="17"/>
    </row>
    <row r="30" spans="3:4" ht="15.75" x14ac:dyDescent="0.25">
      <c r="C30" s="4"/>
      <c r="D30" s="17"/>
    </row>
    <row r="31" spans="3:4" ht="15.75" x14ac:dyDescent="0.25">
      <c r="C31" s="4" t="s">
        <v>25</v>
      </c>
      <c r="D31" s="17">
        <f>D3+D7+D11+D16+D27</f>
        <v>12.772472472999999</v>
      </c>
    </row>
    <row r="32" spans="3:4" ht="15.75" x14ac:dyDescent="0.25">
      <c r="C32" s="4"/>
    </row>
    <row r="33" spans="3:4" ht="15.75" x14ac:dyDescent="0.25">
      <c r="C33" s="4" t="s">
        <v>26</v>
      </c>
    </row>
    <row r="34" spans="3:4" ht="15.75" x14ac:dyDescent="0.25">
      <c r="C34" s="4" t="s">
        <v>27</v>
      </c>
      <c r="D34" s="6">
        <f>(D12+D16+D29)/D41</f>
        <v>1.4241511604267483E-4</v>
      </c>
    </row>
    <row r="35" spans="3:4" ht="15.75" x14ac:dyDescent="0.25">
      <c r="C35" s="4" t="s">
        <v>28</v>
      </c>
      <c r="D35" s="6">
        <f>D31/D41</f>
        <v>7.5415058105166824E-4</v>
      </c>
    </row>
    <row r="36" spans="3:4" ht="15.75" x14ac:dyDescent="0.25">
      <c r="C36" s="4"/>
    </row>
    <row r="37" spans="3:4" ht="15.75" x14ac:dyDescent="0.25">
      <c r="C37" s="4" t="s">
        <v>29</v>
      </c>
      <c r="D37" s="5">
        <f>(D39+D41)/2</f>
        <v>18036.9876744598</v>
      </c>
    </row>
    <row r="38" spans="3:4" hidden="1" x14ac:dyDescent="0.25"/>
    <row r="39" spans="3:4" hidden="1" x14ac:dyDescent="0.25">
      <c r="C39" s="7" t="s">
        <v>30</v>
      </c>
      <c r="D39" s="5">
        <v>19137.739013745399</v>
      </c>
    </row>
    <row r="40" spans="3:4" hidden="1" x14ac:dyDescent="0.25"/>
    <row r="41" spans="3:4" hidden="1" x14ac:dyDescent="0.25">
      <c r="C41" s="7" t="s">
        <v>31</v>
      </c>
      <c r="D41" s="5">
        <v>16936.236335174199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7D8E-E523-423F-85AC-8E0854AE0681}">
  <dimension ref="C1:D41"/>
  <sheetViews>
    <sheetView rightToLeft="1" workbookViewId="0">
      <selection activeCell="D19" sqref="D19"/>
    </sheetView>
  </sheetViews>
  <sheetFormatPr defaultRowHeight="15" x14ac:dyDescent="0.25"/>
  <cols>
    <col min="3" max="3" width="58" style="7" customWidth="1"/>
    <col min="4" max="4" width="15" style="5" bestFit="1" customWidth="1"/>
  </cols>
  <sheetData>
    <row r="1" spans="3:4" x14ac:dyDescent="0.25">
      <c r="C1" s="1" t="s">
        <v>128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4" t="s">
        <v>3</v>
      </c>
      <c r="D3" s="17">
        <f>SUM(D4:D5)</f>
        <v>310.71891055999998</v>
      </c>
    </row>
    <row r="4" spans="3:4" ht="15.75" x14ac:dyDescent="0.25">
      <c r="C4" s="4" t="s">
        <v>4</v>
      </c>
      <c r="D4" s="17">
        <v>0</v>
      </c>
    </row>
    <row r="5" spans="3:4" ht="15.75" x14ac:dyDescent="0.25">
      <c r="C5" s="4" t="s">
        <v>5</v>
      </c>
      <c r="D5" s="17">
        <f>69.36891056+241.35</f>
        <v>310.71891055999998</v>
      </c>
    </row>
    <row r="6" spans="3:4" ht="15.75" x14ac:dyDescent="0.25">
      <c r="C6" s="4"/>
      <c r="D6" s="17">
        <v>0</v>
      </c>
    </row>
    <row r="7" spans="3:4" ht="15.75" x14ac:dyDescent="0.25">
      <c r="C7" s="4" t="s">
        <v>6</v>
      </c>
      <c r="D7" s="17">
        <f>SUM(D8:D9)</f>
        <v>14.870890000000001</v>
      </c>
    </row>
    <row r="8" spans="3:4" ht="15.75" x14ac:dyDescent="0.25">
      <c r="C8" s="4" t="s">
        <v>7</v>
      </c>
      <c r="D8" s="17">
        <v>0</v>
      </c>
    </row>
    <row r="9" spans="3:4" ht="15.75" x14ac:dyDescent="0.25">
      <c r="C9" s="4" t="s">
        <v>8</v>
      </c>
      <c r="D9" s="17">
        <f>3.15089+11.72</f>
        <v>14.870890000000001</v>
      </c>
    </row>
    <row r="10" spans="3:4" ht="15.75" x14ac:dyDescent="0.25">
      <c r="C10" s="4"/>
      <c r="D10" s="17">
        <v>0</v>
      </c>
    </row>
    <row r="11" spans="3:4" ht="15.75" x14ac:dyDescent="0.25">
      <c r="C11" s="4" t="s">
        <v>9</v>
      </c>
      <c r="D11" s="17">
        <f>SUM(D12:D14)</f>
        <v>0</v>
      </c>
    </row>
    <row r="12" spans="3:4" ht="15.75" x14ac:dyDescent="0.25">
      <c r="C12" s="4" t="s">
        <v>10</v>
      </c>
      <c r="D12" s="17">
        <v>0</v>
      </c>
    </row>
    <row r="13" spans="3:4" ht="15.75" x14ac:dyDescent="0.25">
      <c r="C13" s="4" t="s">
        <v>11</v>
      </c>
      <c r="D13" s="17">
        <v>0</v>
      </c>
    </row>
    <row r="14" spans="3:4" ht="15.75" x14ac:dyDescent="0.25">
      <c r="C14" s="4" t="s">
        <v>12</v>
      </c>
      <c r="D14" s="17">
        <v>0</v>
      </c>
    </row>
    <row r="15" spans="3:4" ht="15.75" x14ac:dyDescent="0.25">
      <c r="C15" s="4"/>
      <c r="D15" s="17"/>
    </row>
    <row r="16" spans="3:4" ht="15.75" x14ac:dyDescent="0.25">
      <c r="C16" s="4" t="s">
        <v>13</v>
      </c>
      <c r="D16" s="17">
        <f>SUM(D17:D25)</f>
        <v>2383.3962866993334</v>
      </c>
    </row>
    <row r="17" spans="3:4" ht="15.75" x14ac:dyDescent="0.25">
      <c r="C17" s="4" t="s">
        <v>14</v>
      </c>
      <c r="D17" s="17">
        <f>'נספח 3'!D26</f>
        <v>694.27990968333336</v>
      </c>
    </row>
    <row r="18" spans="3:4" ht="15.75" x14ac:dyDescent="0.25">
      <c r="C18" s="4" t="s">
        <v>15</v>
      </c>
      <c r="D18" s="17">
        <v>0</v>
      </c>
    </row>
    <row r="19" spans="3:4" ht="15.75" x14ac:dyDescent="0.25">
      <c r="C19" s="4" t="s">
        <v>16</v>
      </c>
      <c r="D19" s="17">
        <f>'נספח 3'!D53</f>
        <v>1661.5943688159998</v>
      </c>
    </row>
    <row r="20" spans="3:4" ht="15.75" x14ac:dyDescent="0.25">
      <c r="C20" s="4" t="s">
        <v>17</v>
      </c>
      <c r="D20" s="17">
        <v>0</v>
      </c>
    </row>
    <row r="21" spans="3:4" ht="15.75" x14ac:dyDescent="0.25">
      <c r="C21" s="4" t="s">
        <v>18</v>
      </c>
      <c r="D21" s="17">
        <v>0</v>
      </c>
    </row>
    <row r="22" spans="3:4" ht="15.75" x14ac:dyDescent="0.25">
      <c r="C22" s="4" t="s">
        <v>19</v>
      </c>
      <c r="D22" s="17">
        <v>0</v>
      </c>
    </row>
    <row r="23" spans="3:4" ht="15.75" x14ac:dyDescent="0.25">
      <c r="C23" s="4" t="s">
        <v>20</v>
      </c>
      <c r="D23" s="17">
        <f>24.69-0.06</f>
        <v>24.630000000000003</v>
      </c>
    </row>
    <row r="24" spans="3:4" ht="15.75" x14ac:dyDescent="0.25">
      <c r="C24" s="4" t="s">
        <v>139</v>
      </c>
      <c r="D24" s="17">
        <f>0.2795482+2.92+0.04-0.528+0.18046</f>
        <v>2.8920081999999998</v>
      </c>
    </row>
    <row r="25" spans="3:4" ht="15.75" x14ac:dyDescent="0.25">
      <c r="C25" s="4" t="s">
        <v>21</v>
      </c>
      <c r="D25" s="17">
        <v>0</v>
      </c>
    </row>
    <row r="26" spans="3:4" ht="15.75" x14ac:dyDescent="0.25">
      <c r="C26" s="4"/>
      <c r="D26" s="17"/>
    </row>
    <row r="27" spans="3:4" ht="15.75" x14ac:dyDescent="0.25">
      <c r="C27" s="4" t="s">
        <v>22</v>
      </c>
      <c r="D27" s="17">
        <f>SUM(D28:D29)</f>
        <v>0</v>
      </c>
    </row>
    <row r="28" spans="3:4" ht="15.75" x14ac:dyDescent="0.25">
      <c r="C28" s="4" t="s">
        <v>23</v>
      </c>
      <c r="D28" s="17"/>
    </row>
    <row r="29" spans="3:4" ht="15.75" x14ac:dyDescent="0.25">
      <c r="C29" s="4" t="s">
        <v>24</v>
      </c>
      <c r="D29" s="17"/>
    </row>
    <row r="30" spans="3:4" ht="15.75" x14ac:dyDescent="0.25">
      <c r="C30" s="4"/>
      <c r="D30" s="17"/>
    </row>
    <row r="31" spans="3:4" ht="15.75" x14ac:dyDescent="0.25">
      <c r="C31" s="4" t="s">
        <v>25</v>
      </c>
      <c r="D31" s="17">
        <f>D3+D7+D11+D16+D27</f>
        <v>2708.9860872593335</v>
      </c>
    </row>
    <row r="32" spans="3:4" ht="15.75" x14ac:dyDescent="0.25">
      <c r="C32" s="4"/>
    </row>
    <row r="33" spans="3:4" ht="15.75" x14ac:dyDescent="0.25">
      <c r="C33" s="4" t="s">
        <v>26</v>
      </c>
    </row>
    <row r="34" spans="3:4" ht="15.75" x14ac:dyDescent="0.25">
      <c r="C34" s="4" t="s">
        <v>27</v>
      </c>
      <c r="D34" s="6">
        <f>(D12+D16+D29)/D41</f>
        <v>1.7057373251683624E-3</v>
      </c>
    </row>
    <row r="35" spans="3:4" ht="15.75" x14ac:dyDescent="0.25">
      <c r="C35" s="4" t="s">
        <v>28</v>
      </c>
      <c r="D35" s="6">
        <f>D31/D41</f>
        <v>1.9387538313232937E-3</v>
      </c>
    </row>
    <row r="36" spans="3:4" ht="15.75" x14ac:dyDescent="0.25">
      <c r="C36" s="4"/>
    </row>
    <row r="37" spans="3:4" ht="15.75" x14ac:dyDescent="0.25">
      <c r="C37" s="4" t="s">
        <v>29</v>
      </c>
      <c r="D37" s="5">
        <f>(D39+D41)/2</f>
        <v>1389471.851834805</v>
      </c>
    </row>
    <row r="38" spans="3:4" hidden="1" x14ac:dyDescent="0.25"/>
    <row r="39" spans="3:4" hidden="1" x14ac:dyDescent="0.25">
      <c r="C39" s="7" t="s">
        <v>30</v>
      </c>
      <c r="D39" s="5">
        <v>1381661.5714608401</v>
      </c>
    </row>
    <row r="40" spans="3:4" hidden="1" x14ac:dyDescent="0.25"/>
    <row r="41" spans="3:4" hidden="1" x14ac:dyDescent="0.25">
      <c r="C41" s="7" t="s">
        <v>31</v>
      </c>
      <c r="D41" s="5">
        <v>1397282.1322087699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844D3-BFEB-47E4-BED9-1453BA112707}">
  <dimension ref="C1:D41"/>
  <sheetViews>
    <sheetView rightToLeft="1" workbookViewId="0"/>
  </sheetViews>
  <sheetFormatPr defaultRowHeight="15" x14ac:dyDescent="0.25"/>
  <cols>
    <col min="3" max="3" width="58" style="7" customWidth="1"/>
    <col min="4" max="4" width="15" style="5" bestFit="1" customWidth="1"/>
  </cols>
  <sheetData>
    <row r="1" spans="3:4" x14ac:dyDescent="0.25">
      <c r="C1" s="1" t="s">
        <v>129</v>
      </c>
      <c r="D1" s="2"/>
    </row>
    <row r="2" spans="3:4" x14ac:dyDescent="0.25">
      <c r="C2" s="3" t="s">
        <v>1</v>
      </c>
      <c r="D2" s="2" t="s">
        <v>2</v>
      </c>
    </row>
    <row r="3" spans="3:4" ht="15.75" x14ac:dyDescent="0.25">
      <c r="C3" s="4" t="s">
        <v>3</v>
      </c>
      <c r="D3" s="10">
        <f>SUM(D4:D5)</f>
        <v>8.9512564799999996</v>
      </c>
    </row>
    <row r="4" spans="3:4" ht="15.75" x14ac:dyDescent="0.25">
      <c r="C4" s="4" t="s">
        <v>4</v>
      </c>
      <c r="D4" s="10">
        <v>0</v>
      </c>
    </row>
    <row r="5" spans="3:4" ht="15.75" x14ac:dyDescent="0.25">
      <c r="C5" s="4" t="s">
        <v>5</v>
      </c>
      <c r="D5" s="10">
        <f>0.99125648+7.96</f>
        <v>8.9512564799999996</v>
      </c>
    </row>
    <row r="6" spans="3:4" ht="15.75" x14ac:dyDescent="0.25">
      <c r="C6" s="4"/>
      <c r="D6" s="10">
        <v>0</v>
      </c>
    </row>
    <row r="7" spans="3:4" ht="15.75" x14ac:dyDescent="0.25">
      <c r="C7" s="4" t="s">
        <v>6</v>
      </c>
      <c r="D7" s="10">
        <f>SUM(D8:D9)</f>
        <v>0.18704999999999999</v>
      </c>
    </row>
    <row r="8" spans="3:4" ht="15.75" x14ac:dyDescent="0.25">
      <c r="C8" s="4" t="s">
        <v>7</v>
      </c>
      <c r="D8" s="10">
        <v>0</v>
      </c>
    </row>
    <row r="9" spans="3:4" ht="15.75" x14ac:dyDescent="0.25">
      <c r="C9" s="4" t="s">
        <v>8</v>
      </c>
      <c r="D9" s="10">
        <f>0.02705+0.16</f>
        <v>0.18704999999999999</v>
      </c>
    </row>
    <row r="10" spans="3:4" ht="15.75" x14ac:dyDescent="0.25">
      <c r="C10" s="4"/>
      <c r="D10" s="10">
        <v>0</v>
      </c>
    </row>
    <row r="11" spans="3:4" ht="15.75" x14ac:dyDescent="0.25">
      <c r="C11" s="4" t="s">
        <v>9</v>
      </c>
      <c r="D11" s="10">
        <f>SUM(D12:D14)</f>
        <v>0</v>
      </c>
    </row>
    <row r="12" spans="3:4" ht="15.75" x14ac:dyDescent="0.25">
      <c r="C12" s="4" t="s">
        <v>10</v>
      </c>
      <c r="D12" s="10">
        <v>0</v>
      </c>
    </row>
    <row r="13" spans="3:4" ht="15.75" x14ac:dyDescent="0.25">
      <c r="C13" s="4" t="s">
        <v>11</v>
      </c>
      <c r="D13" s="10">
        <v>0</v>
      </c>
    </row>
    <row r="14" spans="3:4" ht="15.75" x14ac:dyDescent="0.25">
      <c r="C14" s="4" t="s">
        <v>12</v>
      </c>
      <c r="D14" s="10">
        <v>0</v>
      </c>
    </row>
    <row r="15" spans="3:4" ht="15.75" x14ac:dyDescent="0.25">
      <c r="C15" s="4"/>
      <c r="D15" s="10"/>
    </row>
    <row r="16" spans="3:4" ht="15.75" x14ac:dyDescent="0.25">
      <c r="C16" s="4" t="s">
        <v>13</v>
      </c>
      <c r="D16" s="10">
        <f>SUM(D17:D25)</f>
        <v>0.67024112499999999</v>
      </c>
    </row>
    <row r="17" spans="3:4" ht="15.75" x14ac:dyDescent="0.25">
      <c r="C17" s="4" t="s">
        <v>14</v>
      </c>
      <c r="D17" s="10">
        <v>0</v>
      </c>
    </row>
    <row r="18" spans="3:4" ht="15.75" x14ac:dyDescent="0.25">
      <c r="C18" s="4" t="s">
        <v>15</v>
      </c>
      <c r="D18" s="10">
        <v>0</v>
      </c>
    </row>
    <row r="19" spans="3:4" ht="15.75" x14ac:dyDescent="0.25">
      <c r="C19" s="4" t="s">
        <v>16</v>
      </c>
      <c r="D19" s="10">
        <v>0</v>
      </c>
    </row>
    <row r="20" spans="3:4" ht="15.75" x14ac:dyDescent="0.25">
      <c r="C20" s="4" t="s">
        <v>17</v>
      </c>
      <c r="D20" s="10">
        <v>0</v>
      </c>
    </row>
    <row r="21" spans="3:4" ht="15.75" x14ac:dyDescent="0.25">
      <c r="C21" s="4" t="s">
        <v>18</v>
      </c>
      <c r="D21" s="10">
        <v>0</v>
      </c>
    </row>
    <row r="22" spans="3:4" ht="15.75" x14ac:dyDescent="0.25">
      <c r="C22" s="4" t="s">
        <v>19</v>
      </c>
      <c r="D22" s="10">
        <v>0</v>
      </c>
    </row>
    <row r="23" spans="3:4" ht="15.75" x14ac:dyDescent="0.25">
      <c r="C23" s="4" t="s">
        <v>20</v>
      </c>
      <c r="D23" s="10">
        <v>0.66</v>
      </c>
    </row>
    <row r="24" spans="3:4" ht="15.75" x14ac:dyDescent="0.25">
      <c r="C24" s="4" t="s">
        <v>139</v>
      </c>
      <c r="D24" s="10">
        <f>0.000241125+0.01</f>
        <v>1.0241125E-2</v>
      </c>
    </row>
    <row r="25" spans="3:4" ht="15.75" x14ac:dyDescent="0.25">
      <c r="C25" s="4" t="s">
        <v>21</v>
      </c>
      <c r="D25" s="10">
        <v>0</v>
      </c>
    </row>
    <row r="26" spans="3:4" ht="15.75" x14ac:dyDescent="0.25">
      <c r="C26" s="4"/>
      <c r="D26" s="10"/>
    </row>
    <row r="27" spans="3:4" ht="15.75" x14ac:dyDescent="0.25">
      <c r="C27" s="4" t="s">
        <v>22</v>
      </c>
      <c r="D27" s="10">
        <f>SUM(D28:D29)</f>
        <v>0</v>
      </c>
    </row>
    <row r="28" spans="3:4" ht="15.75" x14ac:dyDescent="0.25">
      <c r="C28" s="4" t="s">
        <v>23</v>
      </c>
      <c r="D28" s="10"/>
    </row>
    <row r="29" spans="3:4" ht="15.75" x14ac:dyDescent="0.25">
      <c r="C29" s="4" t="s">
        <v>24</v>
      </c>
      <c r="D29" s="10"/>
    </row>
    <row r="30" spans="3:4" ht="15.75" x14ac:dyDescent="0.25">
      <c r="C30" s="4"/>
      <c r="D30" s="10"/>
    </row>
    <row r="31" spans="3:4" ht="15.75" x14ac:dyDescent="0.25">
      <c r="C31" s="4" t="s">
        <v>25</v>
      </c>
      <c r="D31" s="10">
        <f>D3+D7+D11+D16+D27</f>
        <v>9.8085476049999993</v>
      </c>
    </row>
    <row r="32" spans="3:4" ht="15.75" x14ac:dyDescent="0.25">
      <c r="C32" s="4"/>
    </row>
    <row r="33" spans="3:4" ht="15.75" x14ac:dyDescent="0.25">
      <c r="C33" s="4" t="s">
        <v>26</v>
      </c>
    </row>
    <row r="34" spans="3:4" ht="15.75" x14ac:dyDescent="0.25">
      <c r="C34" s="4" t="s">
        <v>27</v>
      </c>
      <c r="D34" s="6">
        <f>(D12+D16+D29)/D41</f>
        <v>2.5809955116309935E-5</v>
      </c>
    </row>
    <row r="35" spans="3:4" ht="15.75" x14ac:dyDescent="0.25">
      <c r="C35" s="4" t="s">
        <v>28</v>
      </c>
      <c r="D35" s="6">
        <f>D31/D41</f>
        <v>3.7771208599179782E-4</v>
      </c>
    </row>
    <row r="36" spans="3:4" ht="15.75" x14ac:dyDescent="0.25">
      <c r="C36" s="4"/>
    </row>
    <row r="37" spans="3:4" ht="15.75" x14ac:dyDescent="0.25">
      <c r="C37" s="4" t="s">
        <v>29</v>
      </c>
      <c r="D37" s="5">
        <f>(D39+D41)/2</f>
        <v>25425.84203155815</v>
      </c>
    </row>
    <row r="38" spans="3:4" hidden="1" x14ac:dyDescent="0.25"/>
    <row r="39" spans="3:4" hidden="1" x14ac:dyDescent="0.25">
      <c r="C39" s="7" t="s">
        <v>30</v>
      </c>
      <c r="D39" s="5">
        <v>24883.3659478919</v>
      </c>
    </row>
    <row r="40" spans="3:4" hidden="1" x14ac:dyDescent="0.25"/>
    <row r="41" spans="3:4" hidden="1" x14ac:dyDescent="0.25">
      <c r="C41" s="7" t="s">
        <v>31</v>
      </c>
      <c r="D41" s="5">
        <v>25968.3181152244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</vt:lpstr>
      <vt:lpstr>עד 50</vt:lpstr>
      <vt:lpstr>50-60</vt:lpstr>
      <vt:lpstr>60+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2024-01-21T09:20:31Z</dcterms:created>
  <dcterms:modified xsi:type="dcterms:W3CDTF">2024-02-07T13:44:46Z</dcterms:modified>
</cp:coreProperties>
</file>